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elle1" sheetId="1" r:id="rId1"/>
  </sheets>
  <definedNames>
    <definedName name="_xlnm.Print_Area" localSheetId="0">'Tabelle1'!$B$1:$I$59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D12" authorId="0">
      <text>
        <r>
          <rPr>
            <b/>
            <sz val="8"/>
            <color indexed="8"/>
            <rFont val="Tahoma"/>
            <family val="2"/>
          </rPr>
          <t xml:space="preserve">Michael:
</t>
        </r>
        <r>
          <rPr>
            <sz val="8"/>
            <color indexed="8"/>
            <rFont val="Tahoma"/>
            <family val="2"/>
          </rPr>
          <t>CWK 200: 2,0 Liter
CWK 250: 2,5 Liter
CWK 315: 3,0 Liter
CWK 400: 4,0 Liter</t>
        </r>
      </text>
    </comment>
    <comment ref="D16" authorId="0">
      <text>
        <r>
          <rPr>
            <b/>
            <sz val="8"/>
            <color indexed="8"/>
            <rFont val="Tahoma"/>
            <family val="2"/>
          </rPr>
          <t xml:space="preserve">andreas:
</t>
        </r>
        <r>
          <rPr>
            <sz val="8"/>
            <color indexed="8"/>
            <rFont val="Tahoma"/>
            <family val="2"/>
          </rPr>
          <t>max 30 °C</t>
        </r>
      </text>
    </comment>
    <comment ref="D17" authorId="0">
      <text>
        <r>
          <rPr>
            <b/>
            <sz val="8"/>
            <color indexed="8"/>
            <rFont val="Tahoma"/>
            <family val="2"/>
          </rPr>
          <t xml:space="preserve">andreas:
</t>
        </r>
        <r>
          <rPr>
            <sz val="8"/>
            <color indexed="8"/>
            <rFont val="Tahoma"/>
            <family val="2"/>
          </rPr>
          <t xml:space="preserve">bis -10 °C
</t>
        </r>
      </text>
    </comment>
    <comment ref="D27" authorId="0">
      <text>
        <r>
          <rPr>
            <b/>
            <sz val="8"/>
            <color indexed="8"/>
            <rFont val="Tahoma"/>
            <family val="2"/>
          </rPr>
          <t xml:space="preserve">andreas:
</t>
        </r>
        <r>
          <rPr>
            <sz val="8"/>
            <color indexed="8"/>
            <rFont val="Tahoma"/>
            <family val="2"/>
          </rPr>
          <t>Katalog oder Einzustellender Wert vor dem Einbau</t>
        </r>
      </text>
    </comment>
  </commentList>
</comments>
</file>

<file path=xl/sharedStrings.xml><?xml version="1.0" encoding="utf-8"?>
<sst xmlns="http://schemas.openxmlformats.org/spreadsheetml/2006/main" count="112" uniqueCount="90">
  <si>
    <t>Dieses Programm ist nur für Sole-EWT bis 500 m Soleleitung und ca 500 cbm/h Luftförderung anwendbar</t>
  </si>
  <si>
    <t>Farblegende:</t>
  </si>
  <si>
    <t>Eingabefelder</t>
  </si>
  <si>
    <t>Zwischenergebnisse</t>
  </si>
  <si>
    <t>Ergebniswerte</t>
  </si>
  <si>
    <t>Dimensionierung Druckausgleichsbehälter</t>
  </si>
  <si>
    <t xml:space="preserve">Soleleitung Länge </t>
  </si>
  <si>
    <t>m</t>
  </si>
  <si>
    <t xml:space="preserve"> (Werte 100 - 500 m)</t>
  </si>
  <si>
    <t>Rohrtabelle Quelle: 1988-Teil 3, HD-PE DIN 19533</t>
  </si>
  <si>
    <t xml:space="preserve">Soleleitung Innendurchmesser </t>
  </si>
  <si>
    <t>DN</t>
  </si>
  <si>
    <t xml:space="preserve"> (Auswahl DN 20 - DN 40)</t>
  </si>
  <si>
    <t>NW</t>
  </si>
  <si>
    <t>di [mm]</t>
  </si>
  <si>
    <t>Inhalt [l/m]</t>
  </si>
  <si>
    <t>mm</t>
  </si>
  <si>
    <t xml:space="preserve"> (Wert von Feld C9)</t>
  </si>
  <si>
    <t>DN 20</t>
  </si>
  <si>
    <t xml:space="preserve">Soleleitung Innenvolumen </t>
  </si>
  <si>
    <t>Liter</t>
  </si>
  <si>
    <t>DN 25</t>
  </si>
  <si>
    <t xml:space="preserve">Tauscher Innenvolumen </t>
  </si>
  <si>
    <t>DN 32</t>
  </si>
  <si>
    <t xml:space="preserve">Pumpengruppe etc Innenvolumen </t>
  </si>
  <si>
    <t>DN 40</t>
  </si>
  <si>
    <t xml:space="preserve">Summe Solevolumen </t>
  </si>
  <si>
    <t xml:space="preserve">Mittl.Temp. Sole Sommer max </t>
  </si>
  <si>
    <t>°C</t>
  </si>
  <si>
    <t xml:space="preserve">  (Festwert)</t>
  </si>
  <si>
    <t>Kältsysteme -20 °C</t>
  </si>
  <si>
    <t xml:space="preserve">Mittl.Temp. Sole Winter min. </t>
  </si>
  <si>
    <t>Kältsysteme +40 °C</t>
  </si>
  <si>
    <t xml:space="preserve">Max Temperaturdifferenz Sole </t>
  </si>
  <si>
    <t>Kelvin</t>
  </si>
  <si>
    <t xml:space="preserve">Spezif. Ausdehnung Wasser </t>
  </si>
  <si>
    <t>% pro K</t>
  </si>
  <si>
    <t>?</t>
  </si>
  <si>
    <t xml:space="preserve">Spezif. Ausdehnung Frostschutzmittel </t>
  </si>
  <si>
    <t xml:space="preserve">Gehalt Frostschutzmittel </t>
  </si>
  <si>
    <t>%</t>
  </si>
  <si>
    <t xml:space="preserve">Ausdehnung Sole </t>
  </si>
  <si>
    <t xml:space="preserve">Ausdehnungsvolumen Sole </t>
  </si>
  <si>
    <t xml:space="preserve">Liter </t>
  </si>
  <si>
    <t>AG</t>
  </si>
  <si>
    <t>Wasservorlage</t>
  </si>
  <si>
    <t>[Liter]</t>
  </si>
  <si>
    <t>Sicherheitsventil Ansprechdruck</t>
  </si>
  <si>
    <t>bar</t>
  </si>
  <si>
    <t>Wasservorlage 0,5% vom Anlagenvolumen bei AG &gt;15 l</t>
  </si>
  <si>
    <t>Vordruck im Ausdehnungsgefäß (AG)</t>
  </si>
  <si>
    <t>Wert aus Katalog</t>
  </si>
  <si>
    <t>mindest Wasservorlage 3 l</t>
  </si>
  <si>
    <t>Wasservorlage im AG</t>
  </si>
  <si>
    <t>Wasservorlage 20% des Gefäßvolumens bei AG &lt;15 l</t>
  </si>
  <si>
    <t>Mindestvolumen AG</t>
  </si>
  <si>
    <t>Normvolumen des AG</t>
  </si>
  <si>
    <t xml:space="preserve"> selbst wählen !</t>
  </si>
  <si>
    <t>Temp</t>
  </si>
  <si>
    <t>Dichte</t>
  </si>
  <si>
    <t>spez. Volumen</t>
  </si>
  <si>
    <t>Minimaler Anlagenfülldruck</t>
  </si>
  <si>
    <t>[° C]</t>
  </si>
  <si>
    <t>[kg/m³]</t>
  </si>
  <si>
    <t>[dm³/kg]</t>
  </si>
  <si>
    <t>Maximaler Anlagenfülldruck</t>
  </si>
  <si>
    <t>Anlagenfülldruckdifferenz</t>
  </si>
  <si>
    <t xml:space="preserve"> muss größer 0,2 bar sein</t>
  </si>
  <si>
    <t>Fluidwerte bei Soletemp. von</t>
  </si>
  <si>
    <t xml:space="preserve">Iterration von lambda nach Colebrook </t>
  </si>
  <si>
    <t>lineare Interpolartion der Stoffwerte Solarflüssigkeit Solvis Tyfocor LS-rot</t>
  </si>
  <si>
    <t>Volumenstrom =</t>
  </si>
  <si>
    <t>m³/h</t>
  </si>
  <si>
    <t>Gleichung2</t>
  </si>
  <si>
    <t>Gleichung3</t>
  </si>
  <si>
    <t>lambda</t>
  </si>
  <si>
    <t>kin. Viskosität</t>
  </si>
  <si>
    <t>Geschwindigkeit =</t>
  </si>
  <si>
    <t>m/s</t>
  </si>
  <si>
    <t>[°C]</t>
  </si>
  <si>
    <t>[mm²/s]</t>
  </si>
  <si>
    <t>Rohrrauhigkeitszahl HD-PE =</t>
  </si>
  <si>
    <t>Dichte =</t>
  </si>
  <si>
    <t>kg/m³</t>
  </si>
  <si>
    <t>kinematische Viskosität =</t>
  </si>
  <si>
    <t>m²/s</t>
  </si>
  <si>
    <t>di =</t>
  </si>
  <si>
    <t>Reynoldszahl =</t>
  </si>
  <si>
    <t>R-Wert =</t>
  </si>
  <si>
    <t>Pa/m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</si>
</sst>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.0"/>
    <numFmt numFmtId="166" formatCode="0"/>
    <numFmt numFmtId="167" formatCode="0.0000"/>
    <numFmt numFmtId="168" formatCode="0.00"/>
    <numFmt numFmtId="169" formatCode="GENERAL"/>
    <numFmt numFmtId="170" formatCode="0.000"/>
    <numFmt numFmtId="171" formatCode="0.00000"/>
  </numFmts>
  <fonts count="11">
    <font>
      <sz val="10"/>
      <name val="Arial"/>
      <family val="2"/>
    </font>
    <font>
      <b/>
      <u val="single"/>
      <sz val="10"/>
      <color indexed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5"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0" fillId="0" borderId="0" xfId="0" applyFont="1" applyAlignment="1">
      <alignment vertical="center"/>
    </xf>
    <xf numFmtId="164" fontId="1" fillId="0" borderId="0" xfId="0" applyFont="1" applyAlignment="1">
      <alignment horizontal="right"/>
    </xf>
    <xf numFmtId="164" fontId="0" fillId="2" borderId="1" xfId="0" applyFont="1" applyFill="1" applyBorder="1" applyAlignment="1">
      <alignment horizontal="center"/>
    </xf>
    <xf numFmtId="164" fontId="0" fillId="0" borderId="1" xfId="0" applyFont="1" applyBorder="1" applyAlignment="1">
      <alignment horizontal="center"/>
    </xf>
    <xf numFmtId="164" fontId="0" fillId="0" borderId="0" xfId="0" applyAlignment="1">
      <alignment horizontal="left"/>
    </xf>
    <xf numFmtId="164" fontId="0" fillId="3" borderId="1" xfId="0" applyFont="1" applyFill="1" applyBorder="1" applyAlignment="1">
      <alignment horizontal="center"/>
    </xf>
    <xf numFmtId="164" fontId="2" fillId="4" borderId="1" xfId="0" applyFont="1" applyFill="1" applyBorder="1" applyAlignment="1">
      <alignment horizontal="center" vertical="center"/>
    </xf>
    <xf numFmtId="164" fontId="0" fillId="0" borderId="2" xfId="0" applyBorder="1" applyAlignment="1">
      <alignment/>
    </xf>
    <xf numFmtId="164" fontId="0" fillId="0" borderId="0" xfId="0" applyBorder="1" applyAlignment="1">
      <alignment horizontal="right"/>
    </xf>
    <xf numFmtId="164" fontId="0" fillId="0" borderId="0" xfId="0" applyBorder="1" applyAlignment="1">
      <alignment/>
    </xf>
    <xf numFmtId="164" fontId="0" fillId="0" borderId="3" xfId="0" applyBorder="1" applyAlignment="1">
      <alignment/>
    </xf>
    <xf numFmtId="164" fontId="0" fillId="0" borderId="2" xfId="0" applyFont="1" applyBorder="1" applyAlignment="1">
      <alignment horizontal="right"/>
    </xf>
    <xf numFmtId="164" fontId="0" fillId="2" borderId="1" xfId="0" applyFill="1" applyBorder="1" applyAlignment="1" applyProtection="1">
      <alignment horizontal="center"/>
      <protection locked="0"/>
    </xf>
    <xf numFmtId="164" fontId="0" fillId="0" borderId="0" xfId="0" applyFont="1" applyFill="1" applyBorder="1" applyAlignment="1">
      <alignment/>
    </xf>
    <xf numFmtId="164" fontId="3" fillId="0" borderId="0" xfId="0" applyFont="1" applyAlignment="1" applyProtection="1">
      <alignment/>
      <protection locked="0"/>
    </xf>
    <xf numFmtId="164" fontId="0" fillId="0" borderId="0" xfId="0" applyAlignment="1" applyProtection="1">
      <alignment/>
      <protection locked="0"/>
    </xf>
    <xf numFmtId="164" fontId="0" fillId="0" borderId="0" xfId="0" applyFont="1" applyAlignment="1" applyProtection="1">
      <alignment horizontal="center"/>
      <protection locked="0"/>
    </xf>
    <xf numFmtId="165" fontId="0" fillId="0" borderId="1" xfId="0" applyNumberFormat="1" applyBorder="1" applyAlignment="1">
      <alignment horizontal="center"/>
    </xf>
    <xf numFmtId="165" fontId="0" fillId="0" borderId="0" xfId="0" applyNumberFormat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165" fontId="0" fillId="2" borderId="4" xfId="0" applyNumberFormat="1" applyFill="1" applyBorder="1" applyAlignment="1" applyProtection="1">
      <alignment horizontal="center"/>
      <protection locked="0"/>
    </xf>
    <xf numFmtId="164" fontId="3" fillId="0" borderId="2" xfId="0" applyFont="1" applyBorder="1" applyAlignment="1">
      <alignment horizontal="right"/>
    </xf>
    <xf numFmtId="164" fontId="3" fillId="0" borderId="0" xfId="0" applyFont="1" applyBorder="1" applyAlignment="1">
      <alignment horizontal="right"/>
    </xf>
    <xf numFmtId="165" fontId="3" fillId="3" borderId="5" xfId="0" applyNumberFormat="1" applyFont="1" applyFill="1" applyBorder="1" applyAlignment="1">
      <alignment horizontal="center"/>
    </xf>
    <xf numFmtId="164" fontId="3" fillId="0" borderId="6" xfId="0" applyFont="1" applyBorder="1" applyAlignment="1" applyProtection="1">
      <alignment/>
      <protection locked="0"/>
    </xf>
    <xf numFmtId="164" fontId="3" fillId="0" borderId="7" xfId="0" applyFont="1" applyBorder="1" applyAlignment="1" applyProtection="1">
      <alignment horizontal="center"/>
      <protection locked="0"/>
    </xf>
    <xf numFmtId="164" fontId="3" fillId="0" borderId="8" xfId="0" applyFont="1" applyBorder="1" applyAlignment="1" applyProtection="1">
      <alignment horizontal="center"/>
      <protection locked="0"/>
    </xf>
    <xf numFmtId="164" fontId="0" fillId="0" borderId="0" xfId="0" applyBorder="1" applyAlignment="1">
      <alignment horizontal="center"/>
    </xf>
    <xf numFmtId="164" fontId="0" fillId="0" borderId="3" xfId="0" applyFill="1" applyBorder="1" applyAlignment="1">
      <alignment/>
    </xf>
    <xf numFmtId="164" fontId="0" fillId="0" borderId="0" xfId="0" applyFill="1" applyAlignment="1">
      <alignment/>
    </xf>
    <xf numFmtId="164" fontId="3" fillId="0" borderId="1" xfId="0" applyFont="1" applyBorder="1" applyAlignment="1">
      <alignment horizontal="center"/>
    </xf>
    <xf numFmtId="165" fontId="0" fillId="5" borderId="1" xfId="0" applyNumberForma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164" fontId="0" fillId="2" borderId="1" xfId="0" applyFill="1" applyBorder="1" applyAlignment="1">
      <alignment horizontal="center"/>
    </xf>
    <xf numFmtId="167" fontId="0" fillId="0" borderId="4" xfId="0" applyNumberFormat="1" applyBorder="1" applyAlignment="1">
      <alignment horizontal="center"/>
    </xf>
    <xf numFmtId="168" fontId="3" fillId="3" borderId="5" xfId="0" applyNumberFormat="1" applyFont="1" applyFill="1" applyBorder="1" applyAlignment="1">
      <alignment horizontal="center"/>
    </xf>
    <xf numFmtId="164" fontId="3" fillId="0" borderId="0" xfId="0" applyFont="1" applyAlignment="1">
      <alignment horizontal="center"/>
    </xf>
    <xf numFmtId="164" fontId="3" fillId="0" borderId="0" xfId="0" applyFont="1" applyAlignment="1">
      <alignment horizontal="left"/>
    </xf>
    <xf numFmtId="164" fontId="0" fillId="0" borderId="0" xfId="0" applyFont="1" applyAlignment="1">
      <alignment horizontal="center"/>
    </xf>
    <xf numFmtId="168" fontId="0" fillId="0" borderId="0" xfId="0" applyNumberFormat="1" applyAlignment="1">
      <alignment horizontal="center"/>
    </xf>
    <xf numFmtId="165" fontId="0" fillId="0" borderId="4" xfId="0" applyNumberFormat="1" applyBorder="1" applyAlignment="1">
      <alignment horizontal="center"/>
    </xf>
    <xf numFmtId="166" fontId="3" fillId="3" borderId="5" xfId="0" applyNumberFormat="1" applyFont="1" applyFill="1" applyBorder="1" applyAlignment="1">
      <alignment horizontal="center"/>
    </xf>
    <xf numFmtId="164" fontId="3" fillId="2" borderId="0" xfId="0" applyFont="1" applyFill="1" applyBorder="1" applyAlignment="1" applyProtection="1">
      <alignment horizontal="center"/>
      <protection locked="0"/>
    </xf>
    <xf numFmtId="164" fontId="6" fillId="0" borderId="0" xfId="0" applyFont="1" applyBorder="1" applyAlignment="1">
      <alignment/>
    </xf>
    <xf numFmtId="168" fontId="0" fillId="0" borderId="0" xfId="0" applyNumberFormat="1" applyBorder="1" applyAlignment="1">
      <alignment horizontal="center"/>
    </xf>
    <xf numFmtId="167" fontId="0" fillId="0" borderId="0" xfId="0" applyNumberFormat="1" applyAlignment="1">
      <alignment horizontal="center"/>
    </xf>
    <xf numFmtId="164" fontId="0" fillId="0" borderId="9" xfId="0" applyFont="1" applyBorder="1" applyAlignment="1">
      <alignment horizontal="right"/>
    </xf>
    <xf numFmtId="164" fontId="0" fillId="0" borderId="10" xfId="0" applyFont="1" applyBorder="1" applyAlignment="1">
      <alignment horizontal="right"/>
    </xf>
    <xf numFmtId="168" fontId="0" fillId="6" borderId="10" xfId="0" applyNumberFormat="1" applyFont="1" applyFill="1" applyBorder="1" applyAlignment="1">
      <alignment horizontal="center"/>
    </xf>
    <xf numFmtId="164" fontId="6" fillId="0" borderId="10" xfId="0" applyFont="1" applyBorder="1" applyAlignment="1">
      <alignment/>
    </xf>
    <xf numFmtId="164" fontId="0" fillId="0" borderId="10" xfId="0" applyBorder="1" applyAlignment="1">
      <alignment/>
    </xf>
    <xf numFmtId="164" fontId="0" fillId="0" borderId="11" xfId="0" applyBorder="1" applyAlignment="1">
      <alignment/>
    </xf>
    <xf numFmtId="164" fontId="7" fillId="0" borderId="0" xfId="0" applyFont="1" applyFill="1" applyBorder="1" applyAlignment="1">
      <alignment/>
    </xf>
    <xf numFmtId="164" fontId="8" fillId="0" borderId="0" xfId="0" applyFont="1" applyFill="1" applyBorder="1" applyAlignment="1">
      <alignment horizontal="center" vertical="center"/>
    </xf>
    <xf numFmtId="164" fontId="7" fillId="0" borderId="0" xfId="0" applyFont="1" applyFill="1" applyAlignment="1">
      <alignment/>
    </xf>
    <xf numFmtId="164" fontId="3" fillId="0" borderId="0" xfId="0" applyFont="1" applyAlignment="1">
      <alignment horizontal="right"/>
    </xf>
    <xf numFmtId="164" fontId="0" fillId="0" borderId="0" xfId="0" applyAlignment="1">
      <alignment/>
    </xf>
    <xf numFmtId="164" fontId="0" fillId="0" borderId="0" xfId="0" applyFont="1" applyAlignment="1">
      <alignment horizontal="left"/>
    </xf>
    <xf numFmtId="164" fontId="3" fillId="0" borderId="0" xfId="0" applyFont="1" applyAlignment="1">
      <alignment/>
    </xf>
    <xf numFmtId="164" fontId="9" fillId="0" borderId="0" xfId="0" applyFont="1" applyFill="1" applyBorder="1" applyAlignment="1">
      <alignment/>
    </xf>
    <xf numFmtId="164" fontId="7" fillId="0" borderId="0" xfId="0" applyFont="1" applyFill="1" applyBorder="1" applyAlignment="1">
      <alignment horizontal="right"/>
    </xf>
    <xf numFmtId="164" fontId="7" fillId="0" borderId="0" xfId="0" applyFont="1" applyFill="1" applyBorder="1" applyAlignment="1">
      <alignment horizontal="center"/>
    </xf>
    <xf numFmtId="170" fontId="0" fillId="0" borderId="0" xfId="0" applyNumberFormat="1" applyAlignment="1">
      <alignment/>
    </xf>
    <xf numFmtId="164" fontId="0" fillId="0" borderId="0" xfId="0" applyFont="1" applyFill="1" applyBorder="1" applyAlignment="1">
      <alignment horizontal="right"/>
    </xf>
    <xf numFmtId="171" fontId="0" fillId="0" borderId="0" xfId="0" applyNumberFormat="1" applyFont="1" applyFill="1" applyBorder="1" applyAlignment="1">
      <alignment horizontal="right"/>
    </xf>
    <xf numFmtId="171" fontId="0" fillId="0" borderId="0" xfId="0" applyNumberFormat="1" applyFont="1" applyFill="1" applyBorder="1" applyAlignment="1">
      <alignment/>
    </xf>
    <xf numFmtId="171" fontId="0" fillId="0" borderId="0" xfId="0" applyNumberFormat="1" applyFill="1" applyBorder="1" applyAlignment="1">
      <alignment/>
    </xf>
    <xf numFmtId="164" fontId="0" fillId="0" borderId="0" xfId="0" applyFont="1" applyFill="1" applyBorder="1" applyAlignment="1">
      <alignment horizontal="left"/>
    </xf>
    <xf numFmtId="164" fontId="0" fillId="7" borderId="0" xfId="0" applyFill="1" applyAlignment="1">
      <alignment/>
    </xf>
    <xf numFmtId="165" fontId="0" fillId="7" borderId="0" xfId="0" applyNumberFormat="1" applyFill="1" applyAlignment="1">
      <alignment/>
    </xf>
    <xf numFmtId="167" fontId="0" fillId="7" borderId="0" xfId="0" applyNumberFormat="1" applyFill="1" applyAlignment="1">
      <alignment/>
    </xf>
    <xf numFmtId="166" fontId="0" fillId="0" borderId="0" xfId="0" applyNumberFormat="1" applyFill="1" applyBorder="1" applyAlignment="1">
      <alignment horizontal="right"/>
    </xf>
    <xf numFmtId="165" fontId="0" fillId="0" borderId="0" xfId="0" applyNumberFormat="1" applyFont="1" applyFill="1" applyBorder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>
      <alignment/>
    </xf>
    <xf numFmtId="171" fontId="0" fillId="0" borderId="0" xfId="0" applyNumberFormat="1" applyFill="1" applyBorder="1" applyAlignment="1">
      <alignment horizontal="right"/>
    </xf>
    <xf numFmtId="165" fontId="0" fillId="0" borderId="0" xfId="0" applyNumberForma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left"/>
    </xf>
    <xf numFmtId="168" fontId="3" fillId="0" borderId="0" xfId="0" applyNumberFormat="1" applyFont="1" applyFill="1" applyBorder="1" applyAlignment="1">
      <alignment horizontal="right"/>
    </xf>
    <xf numFmtId="166" fontId="3" fillId="0" borderId="0" xfId="0" applyNumberFormat="1" applyFont="1" applyFill="1" applyBorder="1" applyAlignment="1">
      <alignment horizontal="left"/>
    </xf>
    <xf numFmtId="166" fontId="3" fillId="0" borderId="0" xfId="0" applyNumberFormat="1" applyFont="1" applyFill="1" applyBorder="1" applyAlignment="1">
      <alignment/>
    </xf>
    <xf numFmtId="165" fontId="0" fillId="7" borderId="0" xfId="0" applyNumberFormat="1" applyFill="1" applyBorder="1" applyAlignment="1">
      <alignment/>
    </xf>
    <xf numFmtId="167" fontId="0" fillId="7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523875</xdr:colOff>
      <xdr:row>31</xdr:row>
      <xdr:rowOff>9525</xdr:rowOff>
    </xdr:from>
    <xdr:to>
      <xdr:col>4</xdr:col>
      <xdr:colOff>523875</xdr:colOff>
      <xdr:row>33</xdr:row>
      <xdr:rowOff>9525</xdr:rowOff>
    </xdr:to>
    <xdr:sp>
      <xdr:nvSpPr>
        <xdr:cNvPr id="1" name="Line 13"/>
        <xdr:cNvSpPr>
          <a:spLocks/>
        </xdr:cNvSpPr>
      </xdr:nvSpPr>
      <xdr:spPr>
        <a:xfrm>
          <a:off x="4686300" y="4648200"/>
          <a:ext cx="0" cy="381000"/>
        </a:xfrm>
        <a:prstGeom prst="line">
          <a:avLst/>
        </a:prstGeom>
        <a:noFill/>
        <a:ln w="3816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2"/>
  <sheetViews>
    <sheetView tabSelected="1" workbookViewId="0" topLeftCell="A1">
      <selection activeCell="I37" sqref="I37"/>
    </sheetView>
  </sheetViews>
  <sheetFormatPr defaultColWidth="11.421875" defaultRowHeight="12.75"/>
  <cols>
    <col min="1" max="1" width="5.7109375" style="0" customWidth="1"/>
    <col min="2" max="2" width="37.00390625" style="0" customWidth="1"/>
    <col min="3" max="3" width="9.28125" style="1" customWidth="1"/>
    <col min="4" max="4" width="10.421875" style="0" customWidth="1"/>
    <col min="6" max="7" width="9.7109375" style="0" customWidth="1"/>
    <col min="8" max="8" width="2.421875" style="0" customWidth="1"/>
    <col min="9" max="9" width="82.8515625" style="0" customWidth="1"/>
    <col min="10" max="10" width="7.140625" style="0" customWidth="1"/>
    <col min="11" max="11" width="10.7109375" style="0" customWidth="1"/>
    <col min="12" max="12" width="12.57421875" style="0" customWidth="1"/>
    <col min="13" max="13" width="11.7109375" style="0" customWidth="1"/>
    <col min="15" max="15" width="12.7109375" style="0" customWidth="1"/>
  </cols>
  <sheetData>
    <row r="1" ht="22.5" customHeight="1">
      <c r="B1" s="2" t="s">
        <v>0</v>
      </c>
    </row>
    <row r="2" spans="2:4" ht="12.75">
      <c r="B2" s="3" t="s">
        <v>1</v>
      </c>
      <c r="C2" s="4" t="s">
        <v>2</v>
      </c>
      <c r="D2" s="4"/>
    </row>
    <row r="3" spans="3:5" ht="12.75">
      <c r="C3" s="5" t="s">
        <v>3</v>
      </c>
      <c r="D3" s="5"/>
      <c r="E3" s="6"/>
    </row>
    <row r="4" spans="3:5" ht="12.75">
      <c r="C4" s="7" t="s">
        <v>4</v>
      </c>
      <c r="D4" s="7"/>
      <c r="E4" s="6"/>
    </row>
    <row r="5" ht="9" customHeight="1"/>
    <row r="6" spans="2:7" ht="24.75" customHeight="1">
      <c r="B6" s="8" t="s">
        <v>5</v>
      </c>
      <c r="C6" s="8"/>
      <c r="D6" s="8"/>
      <c r="E6" s="8"/>
      <c r="F6" s="8"/>
      <c r="G6" s="8"/>
    </row>
    <row r="7" spans="2:7" ht="6" customHeight="1">
      <c r="B7" s="9"/>
      <c r="C7" s="10"/>
      <c r="D7" s="11"/>
      <c r="E7" s="11"/>
      <c r="F7" s="11"/>
      <c r="G7" s="12"/>
    </row>
    <row r="8" spans="2:13" ht="15" customHeight="1">
      <c r="B8" s="13" t="s">
        <v>6</v>
      </c>
      <c r="C8" s="10" t="s">
        <v>7</v>
      </c>
      <c r="D8" s="14">
        <v>100</v>
      </c>
      <c r="E8" s="15" t="s">
        <v>8</v>
      </c>
      <c r="F8" s="11"/>
      <c r="G8" s="12"/>
      <c r="J8" s="16" t="s">
        <v>9</v>
      </c>
      <c r="K8" s="17"/>
      <c r="L8" s="17"/>
      <c r="M8" s="17"/>
    </row>
    <row r="9" spans="2:13" ht="15" customHeight="1">
      <c r="B9" s="13" t="s">
        <v>10</v>
      </c>
      <c r="C9" s="10" t="s">
        <v>11</v>
      </c>
      <c r="D9" s="14">
        <v>0.025</v>
      </c>
      <c r="E9" s="11" t="s">
        <v>12</v>
      </c>
      <c r="F9" s="11"/>
      <c r="G9" s="12"/>
      <c r="J9" s="17"/>
      <c r="K9" s="18" t="s">
        <v>13</v>
      </c>
      <c r="L9" s="18" t="s">
        <v>14</v>
      </c>
      <c r="M9" s="18" t="s">
        <v>15</v>
      </c>
    </row>
    <row r="10" spans="2:13" ht="15" customHeight="1">
      <c r="B10" s="13"/>
      <c r="C10" s="10" t="s">
        <v>16</v>
      </c>
      <c r="D10" s="19">
        <f>L14</f>
        <v>26</v>
      </c>
      <c r="E10" s="11" t="s">
        <v>17</v>
      </c>
      <c r="F10" s="11"/>
      <c r="G10" s="12"/>
      <c r="J10" s="17">
        <v>1</v>
      </c>
      <c r="K10" s="18" t="s">
        <v>18</v>
      </c>
      <c r="L10" s="20">
        <v>20.4</v>
      </c>
      <c r="M10" s="20">
        <v>0.33</v>
      </c>
    </row>
    <row r="11" spans="2:13" ht="15" customHeight="1">
      <c r="B11" s="13" t="s">
        <v>19</v>
      </c>
      <c r="C11" s="10" t="s">
        <v>20</v>
      </c>
      <c r="D11" s="19">
        <f>M14*D8</f>
        <v>53</v>
      </c>
      <c r="E11" s="11"/>
      <c r="F11" s="11"/>
      <c r="G11" s="12"/>
      <c r="J11" s="17">
        <v>2</v>
      </c>
      <c r="K11" s="18" t="s">
        <v>21</v>
      </c>
      <c r="L11" s="20">
        <v>26</v>
      </c>
      <c r="M11" s="20">
        <v>0.53</v>
      </c>
    </row>
    <row r="12" spans="2:13" ht="15" customHeight="1">
      <c r="B12" s="13" t="s">
        <v>22</v>
      </c>
      <c r="C12" s="10" t="s">
        <v>20</v>
      </c>
      <c r="D12" s="21">
        <v>4</v>
      </c>
      <c r="E12" s="11"/>
      <c r="F12" s="11"/>
      <c r="G12" s="12"/>
      <c r="J12" s="17">
        <v>3</v>
      </c>
      <c r="K12" s="18" t="s">
        <v>23</v>
      </c>
      <c r="L12" s="20">
        <v>32.6</v>
      </c>
      <c r="M12" s="20">
        <v>0.83</v>
      </c>
    </row>
    <row r="13" spans="2:13" ht="15" customHeight="1">
      <c r="B13" s="13" t="s">
        <v>24</v>
      </c>
      <c r="C13" s="10" t="s">
        <v>20</v>
      </c>
      <c r="D13" s="22">
        <v>3</v>
      </c>
      <c r="E13" s="11"/>
      <c r="F13" s="11"/>
      <c r="G13" s="12"/>
      <c r="J13" s="17">
        <v>4</v>
      </c>
      <c r="K13" s="18" t="s">
        <v>25</v>
      </c>
      <c r="L13" s="20">
        <v>40.8</v>
      </c>
      <c r="M13" s="20">
        <v>1.31</v>
      </c>
    </row>
    <row r="14" spans="2:13" ht="15" customHeight="1">
      <c r="B14" s="23" t="s">
        <v>26</v>
      </c>
      <c r="C14" s="24" t="s">
        <v>20</v>
      </c>
      <c r="D14" s="25">
        <f>D13+D12+D11</f>
        <v>60</v>
      </c>
      <c r="E14" s="11"/>
      <c r="F14" s="11"/>
      <c r="G14" s="12"/>
      <c r="J14" s="26">
        <v>2</v>
      </c>
      <c r="K14" s="27" t="str">
        <f>VLOOKUP(J14,J10:M13,2)</f>
        <v>DN 25</v>
      </c>
      <c r="L14" s="27">
        <f>VLOOKUP(J14,J10:M13,3)</f>
        <v>26</v>
      </c>
      <c r="M14" s="28">
        <f>VLOOKUP(J14,J10:M13,4)</f>
        <v>0.53</v>
      </c>
    </row>
    <row r="15" spans="2:7" ht="7.5" customHeight="1">
      <c r="B15" s="13"/>
      <c r="C15" s="10"/>
      <c r="D15" s="29"/>
      <c r="E15" s="11"/>
      <c r="F15" s="11"/>
      <c r="G15" s="12"/>
    </row>
    <row r="16" spans="2:9" ht="15" customHeight="1">
      <c r="B16" s="13" t="s">
        <v>27</v>
      </c>
      <c r="C16" s="10" t="s">
        <v>28</v>
      </c>
      <c r="D16" s="14">
        <v>20</v>
      </c>
      <c r="E16" s="15" t="s">
        <v>29</v>
      </c>
      <c r="F16" s="15" t="s">
        <v>30</v>
      </c>
      <c r="G16" s="30"/>
      <c r="I16" s="31"/>
    </row>
    <row r="17" spans="2:9" ht="15" customHeight="1">
      <c r="B17" s="13" t="s">
        <v>31</v>
      </c>
      <c r="C17" s="10" t="s">
        <v>28</v>
      </c>
      <c r="D17" s="14">
        <v>4</v>
      </c>
      <c r="E17" s="15" t="s">
        <v>29</v>
      </c>
      <c r="F17" s="15" t="s">
        <v>32</v>
      </c>
      <c r="G17" s="30"/>
      <c r="I17" s="31"/>
    </row>
    <row r="18" spans="2:9" ht="15" customHeight="1" hidden="1">
      <c r="B18" s="23" t="s">
        <v>33</v>
      </c>
      <c r="C18" s="24" t="s">
        <v>34</v>
      </c>
      <c r="D18" s="32">
        <f>D16-D17</f>
        <v>16</v>
      </c>
      <c r="E18" s="11"/>
      <c r="F18" s="11"/>
      <c r="G18" s="12"/>
      <c r="I18" s="31"/>
    </row>
    <row r="19" spans="2:9" ht="15" customHeight="1" hidden="1">
      <c r="B19" s="13"/>
      <c r="C19" s="10"/>
      <c r="D19" s="29"/>
      <c r="E19" s="11"/>
      <c r="F19" s="11"/>
      <c r="G19" s="12"/>
      <c r="I19" s="31"/>
    </row>
    <row r="20" spans="2:9" ht="15" customHeight="1" hidden="1">
      <c r="B20" s="13" t="s">
        <v>35</v>
      </c>
      <c r="C20" s="10" t="s">
        <v>36</v>
      </c>
      <c r="D20" s="33">
        <v>1</v>
      </c>
      <c r="E20" s="34" t="s">
        <v>37</v>
      </c>
      <c r="F20" s="11"/>
      <c r="G20" s="12"/>
      <c r="I20" s="31"/>
    </row>
    <row r="21" spans="2:9" ht="15" customHeight="1" hidden="1">
      <c r="B21" s="13" t="s">
        <v>38</v>
      </c>
      <c r="C21" s="10" t="s">
        <v>36</v>
      </c>
      <c r="D21" s="33">
        <v>1</v>
      </c>
      <c r="E21" s="34" t="s">
        <v>37</v>
      </c>
      <c r="F21" s="11"/>
      <c r="G21" s="12"/>
      <c r="I21" s="31"/>
    </row>
    <row r="22" spans="2:9" ht="15" customHeight="1" hidden="1">
      <c r="B22" s="13" t="s">
        <v>39</v>
      </c>
      <c r="C22" s="10" t="s">
        <v>40</v>
      </c>
      <c r="D22" s="35">
        <v>30</v>
      </c>
      <c r="E22" s="11"/>
      <c r="F22" s="11"/>
      <c r="G22" s="12"/>
      <c r="I22" s="31"/>
    </row>
    <row r="23" spans="2:9" ht="15" customHeight="1">
      <c r="B23" s="13" t="s">
        <v>41</v>
      </c>
      <c r="C23" s="10" t="s">
        <v>40</v>
      </c>
      <c r="D23" s="36">
        <f>(M33-M34)*100</f>
        <v>0.8377454594196032</v>
      </c>
      <c r="E23" s="11"/>
      <c r="F23" s="11"/>
      <c r="G23" s="12"/>
      <c r="I23" s="31"/>
    </row>
    <row r="24" spans="2:15" ht="15" customHeight="1">
      <c r="B24" s="23" t="s">
        <v>42</v>
      </c>
      <c r="C24" s="24" t="s">
        <v>43</v>
      </c>
      <c r="D24" s="37">
        <f>D14/100*D23</f>
        <v>0.5026472756517619</v>
      </c>
      <c r="E24" s="11"/>
      <c r="F24" s="11"/>
      <c r="G24" s="12"/>
      <c r="I24" s="31"/>
      <c r="N24" s="38" t="s">
        <v>44</v>
      </c>
      <c r="O24" s="39" t="s">
        <v>45</v>
      </c>
    </row>
    <row r="25" spans="2:15" ht="9.75" customHeight="1">
      <c r="B25" s="9"/>
      <c r="C25" s="10"/>
      <c r="D25" s="29"/>
      <c r="E25" s="11"/>
      <c r="F25" s="11"/>
      <c r="G25" s="12"/>
      <c r="I25" s="31"/>
      <c r="N25" s="40" t="s">
        <v>46</v>
      </c>
      <c r="O25" s="40" t="s">
        <v>46</v>
      </c>
    </row>
    <row r="26" spans="2:15" ht="15" customHeight="1">
      <c r="B26" s="13" t="s">
        <v>47</v>
      </c>
      <c r="C26" s="10" t="s">
        <v>48</v>
      </c>
      <c r="D26" s="14">
        <v>2.5</v>
      </c>
      <c r="E26" s="11"/>
      <c r="F26" s="11"/>
      <c r="G26" s="12"/>
      <c r="I26" s="31"/>
      <c r="M26" s="1" t="s">
        <v>49</v>
      </c>
      <c r="N26" s="41">
        <f>(D24+O26)*((D26-0.5+1)/(D26-0.5-D27))</f>
        <v>2.4079418269552857</v>
      </c>
      <c r="O26" s="41">
        <f>D14*0.005</f>
        <v>0.3</v>
      </c>
    </row>
    <row r="27" spans="2:15" ht="15" customHeight="1">
      <c r="B27" s="13" t="s">
        <v>50</v>
      </c>
      <c r="C27" s="10" t="s">
        <v>48</v>
      </c>
      <c r="D27" s="21">
        <v>1</v>
      </c>
      <c r="E27" s="11" t="s">
        <v>51</v>
      </c>
      <c r="F27" s="11"/>
      <c r="G27" s="12"/>
      <c r="I27" s="31"/>
      <c r="M27" s="1" t="s">
        <v>52</v>
      </c>
      <c r="N27" s="41">
        <f>(D24+O27)*((D26-0.5+1)/(D26-0.5-D27))</f>
        <v>10.507941826955285</v>
      </c>
      <c r="O27" s="41">
        <v>3</v>
      </c>
    </row>
    <row r="28" spans="2:15" ht="15" customHeight="1">
      <c r="B28" s="13" t="s">
        <v>53</v>
      </c>
      <c r="C28" s="10" t="s">
        <v>20</v>
      </c>
      <c r="D28" s="42">
        <f>MAX(O26:O28)</f>
        <v>3</v>
      </c>
      <c r="E28" s="11"/>
      <c r="F28" s="11"/>
      <c r="G28" s="12"/>
      <c r="I28" s="31"/>
      <c r="M28" s="1" t="s">
        <v>54</v>
      </c>
      <c r="N28" s="41">
        <f>(D24+O28)*((D26-0.5+1)/(D26-0.5-D27))</f>
        <v>7.812706923128457</v>
      </c>
      <c r="O28" s="41">
        <f>IF(N27&lt;=15,0.2*N27,O27)</f>
        <v>2.101588365391057</v>
      </c>
    </row>
    <row r="29" spans="2:10" ht="15" customHeight="1">
      <c r="B29" s="23" t="s">
        <v>55</v>
      </c>
      <c r="C29" s="24" t="s">
        <v>20</v>
      </c>
      <c r="D29" s="43">
        <f>(D24+D28)*((D26-0.5+1)/(D26-0.5-D27))</f>
        <v>10.507941826955285</v>
      </c>
      <c r="E29" s="11"/>
      <c r="F29" s="11"/>
      <c r="G29" s="12"/>
      <c r="I29" s="31"/>
      <c r="J29" s="31"/>
    </row>
    <row r="30" spans="2:9" ht="7.5" customHeight="1">
      <c r="B30" s="13"/>
      <c r="C30" s="10"/>
      <c r="D30" s="29"/>
      <c r="E30" s="11"/>
      <c r="F30" s="11"/>
      <c r="G30" s="12"/>
      <c r="I30" s="31"/>
    </row>
    <row r="31" spans="2:13" ht="15" customHeight="1">
      <c r="B31" s="23" t="s">
        <v>56</v>
      </c>
      <c r="C31" s="24" t="s">
        <v>20</v>
      </c>
      <c r="D31" s="44">
        <v>16</v>
      </c>
      <c r="E31" s="45" t="s">
        <v>57</v>
      </c>
      <c r="F31" s="11"/>
      <c r="G31" s="12"/>
      <c r="I31" s="31"/>
      <c r="K31" s="38" t="s">
        <v>58</v>
      </c>
      <c r="L31" s="38" t="s">
        <v>59</v>
      </c>
      <c r="M31" s="39" t="s">
        <v>60</v>
      </c>
    </row>
    <row r="32" spans="2:13" ht="15" customHeight="1">
      <c r="B32" s="13" t="s">
        <v>61</v>
      </c>
      <c r="C32" s="10" t="s">
        <v>48</v>
      </c>
      <c r="D32" s="46">
        <f>(D31*(D27+1))/(D31-D28)-1</f>
        <v>1.4615384615384617</v>
      </c>
      <c r="E32" s="11"/>
      <c r="F32" s="11"/>
      <c r="G32" s="12"/>
      <c r="I32" s="31"/>
      <c r="K32" s="40" t="s">
        <v>62</v>
      </c>
      <c r="L32" s="40" t="s">
        <v>63</v>
      </c>
      <c r="M32" s="40" t="s">
        <v>64</v>
      </c>
    </row>
    <row r="33" spans="2:13" ht="15" customHeight="1">
      <c r="B33" s="13" t="s">
        <v>65</v>
      </c>
      <c r="C33" s="10" t="s">
        <v>48</v>
      </c>
      <c r="D33" s="46">
        <f>(D26-0.5+1)/(1+(D24*(D26-0.5+1))/(D31*(D27+1)))-1</f>
        <v>1.8649924395766169</v>
      </c>
      <c r="E33" s="11"/>
      <c r="F33" s="11"/>
      <c r="G33" s="12"/>
      <c r="I33" s="31"/>
      <c r="K33" s="40">
        <f>D16</f>
        <v>20</v>
      </c>
      <c r="L33" s="40">
        <f>VLOOKUP(K33,$R$41:$T$82,2)</f>
        <v>1032</v>
      </c>
      <c r="M33" s="47">
        <f>(1/L33)*1000</f>
        <v>0.9689922480620154</v>
      </c>
    </row>
    <row r="34" spans="2:13" ht="15" customHeight="1">
      <c r="B34" s="48" t="s">
        <v>66</v>
      </c>
      <c r="C34" s="49" t="s">
        <v>48</v>
      </c>
      <c r="D34" s="50">
        <f>D33-D32</f>
        <v>0.4034539780381552</v>
      </c>
      <c r="E34" s="51" t="s">
        <v>67</v>
      </c>
      <c r="F34" s="52"/>
      <c r="G34" s="53"/>
      <c r="I34" s="31"/>
      <c r="K34" s="40">
        <f>D17</f>
        <v>4</v>
      </c>
      <c r="L34" s="40">
        <f>VLOOKUP(K34,$R$41:$T$82,2)</f>
        <v>1041</v>
      </c>
      <c r="M34" s="47">
        <f>(1/L34)*1000</f>
        <v>0.9606147934678194</v>
      </c>
    </row>
    <row r="35" spans="4:17" ht="9" customHeight="1">
      <c r="D35" s="40"/>
      <c r="O35" s="15"/>
      <c r="P35" s="15"/>
      <c r="Q35" s="15"/>
    </row>
    <row r="36" spans="1:18" ht="24" customHeight="1">
      <c r="A36" s="54"/>
      <c r="B36" s="55"/>
      <c r="C36" s="55"/>
      <c r="D36" s="55"/>
      <c r="E36" s="55"/>
      <c r="F36" s="55"/>
      <c r="G36" s="55"/>
      <c r="H36" s="56"/>
      <c r="K36" s="57" t="s">
        <v>68</v>
      </c>
      <c r="L36" s="58">
        <f>D38</f>
        <v>0</v>
      </c>
      <c r="M36" s="59" t="s">
        <v>28</v>
      </c>
      <c r="N36" s="60" t="s">
        <v>69</v>
      </c>
      <c r="O36" s="15"/>
      <c r="P36" s="15"/>
      <c r="Q36" s="15"/>
      <c r="R36" s="60" t="s">
        <v>70</v>
      </c>
    </row>
    <row r="37" spans="1:8" ht="6" customHeight="1">
      <c r="A37" s="54"/>
      <c r="B37" s="61"/>
      <c r="C37" s="62"/>
      <c r="D37" s="63"/>
      <c r="E37" s="54"/>
      <c r="F37" s="54"/>
      <c r="G37" s="54"/>
      <c r="H37" s="56"/>
    </row>
    <row r="38" spans="1:20" ht="12.75">
      <c r="A38" s="54"/>
      <c r="B38" s="1"/>
      <c r="D38" s="1"/>
      <c r="E38" s="1"/>
      <c r="F38" s="1"/>
      <c r="G38" s="1"/>
      <c r="H38" s="1"/>
      <c r="K38" s="1" t="s">
        <v>71</v>
      </c>
      <c r="L38" s="64">
        <f>D39/L42</f>
        <v>0</v>
      </c>
      <c r="M38" t="s">
        <v>72</v>
      </c>
      <c r="N38" t="s">
        <v>73</v>
      </c>
      <c r="O38" s="65" t="s">
        <v>74</v>
      </c>
      <c r="P38" s="65" t="s">
        <v>75</v>
      </c>
      <c r="Q38" s="65"/>
      <c r="R38" t="s">
        <v>58</v>
      </c>
      <c r="S38" t="s">
        <v>59</v>
      </c>
      <c r="T38" t="s">
        <v>76</v>
      </c>
    </row>
    <row r="39" spans="1:17" ht="12.75">
      <c r="A39" s="54"/>
      <c r="B39" s="1"/>
      <c r="D39" s="1"/>
      <c r="E39" s="1"/>
      <c r="F39" s="1"/>
      <c r="G39" s="1"/>
      <c r="H39" s="1"/>
      <c r="I39" s="65"/>
      <c r="K39" s="1"/>
      <c r="L39" s="64"/>
      <c r="O39" s="65"/>
      <c r="P39" s="65"/>
      <c r="Q39" s="65"/>
    </row>
    <row r="40" spans="1:20" ht="12.75">
      <c r="A40" s="54"/>
      <c r="B40" s="1"/>
      <c r="D40" s="1"/>
      <c r="E40" s="1"/>
      <c r="F40" s="1"/>
      <c r="G40" s="1"/>
      <c r="H40" s="1"/>
      <c r="I40" s="15"/>
      <c r="K40" s="1" t="s">
        <v>77</v>
      </c>
      <c r="L40" s="64">
        <f>(L38/3600)/(((L44/1000)^2*PI())/4)</f>
        <v>0</v>
      </c>
      <c r="M40" t="s">
        <v>78</v>
      </c>
      <c r="N40" s="66">
        <f>1.14-(2*LOG($L$41/$L$44))</f>
        <v>8.279750615913121</v>
      </c>
      <c r="O40" s="67" t="e">
        <f>-2*LOG((($L$41/$L$44)/3.71)+(2.51/($L$45*SQRT(P40))))</f>
        <v>#DIV/0!</v>
      </c>
      <c r="P40" s="68">
        <f>(1/N40)^2</f>
        <v>0.014586983366351745</v>
      </c>
      <c r="Q40" s="15"/>
      <c r="R40" t="s">
        <v>79</v>
      </c>
      <c r="S40" t="s">
        <v>63</v>
      </c>
      <c r="T40" t="s">
        <v>80</v>
      </c>
    </row>
    <row r="41" spans="1:20" ht="12.75">
      <c r="A41" s="54"/>
      <c r="B41" s="1"/>
      <c r="D41" s="1"/>
      <c r="E41" s="1"/>
      <c r="F41" s="1"/>
      <c r="G41" s="1"/>
      <c r="H41" s="1"/>
      <c r="I41" s="15"/>
      <c r="J41" s="65"/>
      <c r="K41" s="65" t="s">
        <v>81</v>
      </c>
      <c r="L41" s="65">
        <v>0.007</v>
      </c>
      <c r="M41" s="69" t="s">
        <v>16</v>
      </c>
      <c r="N41" s="67" t="e">
        <f>O40</f>
        <v>#DIV/0!</v>
      </c>
      <c r="O41" s="67" t="e">
        <f>-2*LOG((($L$41/$L$44)/3.71)+(2.51/($L$45*SQRT(P41))))</f>
        <v>#DIV/0!</v>
      </c>
      <c r="P41" s="68" t="e">
        <f>(1/N41)^2</f>
        <v>#DIV/0!</v>
      </c>
      <c r="Q41" s="15"/>
      <c r="R41" s="70">
        <v>-10</v>
      </c>
      <c r="S41" s="71">
        <f>1.048*1000</f>
        <v>1048</v>
      </c>
      <c r="T41" s="72">
        <v>21.04</v>
      </c>
    </row>
    <row r="42" spans="1:20" ht="12.75">
      <c r="A42" s="54"/>
      <c r="B42" s="1"/>
      <c r="D42" s="1"/>
      <c r="E42" s="1"/>
      <c r="F42" s="1"/>
      <c r="G42" s="1"/>
      <c r="H42" s="1"/>
      <c r="I42" s="73"/>
      <c r="J42" s="15"/>
      <c r="K42" s="65" t="s">
        <v>82</v>
      </c>
      <c r="L42" s="74">
        <f>VLOOKUP(D38,R41:T82,2)</f>
        <v>1043</v>
      </c>
      <c r="M42" s="15" t="s">
        <v>83</v>
      </c>
      <c r="N42" s="68" t="e">
        <f>O41</f>
        <v>#DIV/0!</v>
      </c>
      <c r="O42" s="67" t="e">
        <f>-2*LOG((($L$41/$L$44)/3.71)+(2.51/($L$45*SQRT(P42))))</f>
        <v>#DIV/0!</v>
      </c>
      <c r="P42" s="68" t="e">
        <f>(1/N42)^2</f>
        <v>#DIV/0!</v>
      </c>
      <c r="Q42" s="73"/>
      <c r="R42">
        <v>-9</v>
      </c>
      <c r="S42" s="75">
        <f aca="true" t="shared" si="0" ref="S42:S50">($S$52-$S$41)/($R$52-$R$41)*(R42-$R$41)+$S$41</f>
        <v>1047.5</v>
      </c>
      <c r="T42" s="76">
        <f aca="true" t="shared" si="1" ref="T42:T50">($T$52-$T$41)/($R$52-$R$41)*(R42-$R$41)+$T$41</f>
        <v>20.076999999999998</v>
      </c>
    </row>
    <row r="43" spans="1:20" ht="12.75">
      <c r="A43" s="54"/>
      <c r="B43" s="1"/>
      <c r="D43" s="1"/>
      <c r="E43" s="1"/>
      <c r="F43" s="1"/>
      <c r="G43" s="1"/>
      <c r="H43" s="1"/>
      <c r="I43" s="73"/>
      <c r="J43" s="15"/>
      <c r="K43" s="65" t="s">
        <v>84</v>
      </c>
      <c r="L43" s="15">
        <f>VLOOKUP(D38,R41:T82,3)*10^-6</f>
        <v>1.141E-05</v>
      </c>
      <c r="M43" s="15" t="s">
        <v>85</v>
      </c>
      <c r="N43" s="77" t="e">
        <f>O42</f>
        <v>#DIV/0!</v>
      </c>
      <c r="O43" s="67" t="e">
        <f>-2*LOG((($L$41/$L$44)/3.71)+(2.51/($L$45*SQRT(P43))))</f>
        <v>#DIV/0!</v>
      </c>
      <c r="P43" s="68" t="e">
        <f>(1/N43)^2</f>
        <v>#DIV/0!</v>
      </c>
      <c r="Q43" s="73"/>
      <c r="R43">
        <v>-8</v>
      </c>
      <c r="S43" s="75">
        <f t="shared" si="0"/>
        <v>1047</v>
      </c>
      <c r="T43" s="76">
        <f t="shared" si="1"/>
        <v>19.114</v>
      </c>
    </row>
    <row r="44" spans="1:20" ht="12.75">
      <c r="A44" s="54"/>
      <c r="B44" s="1"/>
      <c r="D44" s="1"/>
      <c r="E44" s="1"/>
      <c r="F44" s="1"/>
      <c r="G44" s="1"/>
      <c r="H44" s="1"/>
      <c r="I44" s="73"/>
      <c r="J44" s="73"/>
      <c r="K44" s="73" t="s">
        <v>86</v>
      </c>
      <c r="L44" s="78">
        <f>L14</f>
        <v>26</v>
      </c>
      <c r="M44" s="79" t="s">
        <v>16</v>
      </c>
      <c r="N44" s="77" t="e">
        <f>O43</f>
        <v>#DIV/0!</v>
      </c>
      <c r="O44" s="67" t="e">
        <f>-2*LOG((($L$41/$L$44)/3.71)+(2.51/($L$45*SQRT(P44))))</f>
        <v>#DIV/0!</v>
      </c>
      <c r="P44" s="68" t="e">
        <f>(1/N44)^2</f>
        <v>#DIV/0!</v>
      </c>
      <c r="Q44" s="73"/>
      <c r="R44">
        <v>-7</v>
      </c>
      <c r="S44" s="75">
        <f t="shared" si="0"/>
        <v>1046.5</v>
      </c>
      <c r="T44" s="76">
        <f t="shared" si="1"/>
        <v>18.151</v>
      </c>
    </row>
    <row r="45" spans="1:20" ht="12.75">
      <c r="A45" s="54"/>
      <c r="B45" s="1"/>
      <c r="D45" s="1"/>
      <c r="E45" s="1"/>
      <c r="F45" s="1"/>
      <c r="G45" s="1"/>
      <c r="H45" s="1"/>
      <c r="I45" s="73"/>
      <c r="J45" s="73"/>
      <c r="K45" s="73" t="s">
        <v>87</v>
      </c>
      <c r="L45" s="73">
        <f>(L40*(L44/1000))/L43</f>
        <v>0</v>
      </c>
      <c r="M45" s="73"/>
      <c r="N45" s="73"/>
      <c r="O45" s="73"/>
      <c r="P45" s="73"/>
      <c r="Q45" s="73"/>
      <c r="R45">
        <v>-6</v>
      </c>
      <c r="S45" s="75">
        <f t="shared" si="0"/>
        <v>1046</v>
      </c>
      <c r="T45" s="76">
        <f t="shared" si="1"/>
        <v>17.188</v>
      </c>
    </row>
    <row r="46" spans="1:20" ht="12.75">
      <c r="A46" s="54"/>
      <c r="B46" s="1"/>
      <c r="D46" s="1"/>
      <c r="E46" s="1"/>
      <c r="F46" s="1"/>
      <c r="G46" s="1"/>
      <c r="H46" s="1"/>
      <c r="I46" s="73"/>
      <c r="J46" s="73"/>
      <c r="K46" s="73" t="s">
        <v>88</v>
      </c>
      <c r="L46" s="80" t="e">
        <f>(P44*L42*L40^2)/((L44/1000)*2)</f>
        <v>#DIV/0!</v>
      </c>
      <c r="M46" s="81" t="s">
        <v>89</v>
      </c>
      <c r="N46" s="73"/>
      <c r="O46" s="73"/>
      <c r="P46" s="73"/>
      <c r="Q46" s="73"/>
      <c r="R46">
        <v>-5</v>
      </c>
      <c r="S46" s="75">
        <f t="shared" si="0"/>
        <v>1045.5</v>
      </c>
      <c r="T46" s="76">
        <f t="shared" si="1"/>
        <v>16.225</v>
      </c>
    </row>
    <row r="47" spans="1:20" ht="12.75">
      <c r="A47" s="54"/>
      <c r="B47" s="1"/>
      <c r="D47" s="1"/>
      <c r="E47" s="1"/>
      <c r="F47" s="1"/>
      <c r="G47" s="1"/>
      <c r="H47" s="1"/>
      <c r="I47" s="73"/>
      <c r="J47" s="73"/>
      <c r="K47" s="73"/>
      <c r="L47" s="73"/>
      <c r="M47" s="73"/>
      <c r="N47" s="73"/>
      <c r="O47" s="73"/>
      <c r="P47" s="73"/>
      <c r="Q47" s="73"/>
      <c r="R47">
        <v>-4</v>
      </c>
      <c r="S47" s="75">
        <f t="shared" si="0"/>
        <v>1045</v>
      </c>
      <c r="T47" s="76">
        <f t="shared" si="1"/>
        <v>15.262</v>
      </c>
    </row>
    <row r="48" spans="1:20" ht="12.75">
      <c r="A48" s="54"/>
      <c r="B48" s="1"/>
      <c r="D48" s="1"/>
      <c r="E48" s="1"/>
      <c r="F48" s="1"/>
      <c r="G48" s="1"/>
      <c r="H48" s="1"/>
      <c r="I48" s="15"/>
      <c r="J48" s="73"/>
      <c r="K48" s="73"/>
      <c r="L48" s="73"/>
      <c r="M48" s="73"/>
      <c r="N48" s="73"/>
      <c r="O48" s="15"/>
      <c r="P48" s="15"/>
      <c r="Q48" s="15"/>
      <c r="R48">
        <v>-3</v>
      </c>
      <c r="S48" s="75">
        <f t="shared" si="0"/>
        <v>1044.5</v>
      </c>
      <c r="T48" s="76">
        <f t="shared" si="1"/>
        <v>14.299</v>
      </c>
    </row>
    <row r="49" spans="1:20" ht="12.75">
      <c r="A49" s="54"/>
      <c r="B49" s="1"/>
      <c r="D49" s="1"/>
      <c r="E49" s="1"/>
      <c r="F49" s="1"/>
      <c r="G49" s="1"/>
      <c r="H49" s="1"/>
      <c r="I49" s="82"/>
      <c r="J49" s="15"/>
      <c r="K49" s="15"/>
      <c r="L49" s="15"/>
      <c r="M49" s="15"/>
      <c r="N49" s="15"/>
      <c r="O49" s="82"/>
      <c r="P49" s="82"/>
      <c r="Q49" s="82"/>
      <c r="R49">
        <v>-2</v>
      </c>
      <c r="S49" s="75">
        <f t="shared" si="0"/>
        <v>1044</v>
      </c>
      <c r="T49" s="76">
        <f t="shared" si="1"/>
        <v>13.336</v>
      </c>
    </row>
    <row r="50" spans="1:20" ht="12.75">
      <c r="A50" s="54"/>
      <c r="B50" s="1"/>
      <c r="D50" s="1"/>
      <c r="E50" s="1"/>
      <c r="F50" s="1"/>
      <c r="G50" s="1"/>
      <c r="H50" s="1"/>
      <c r="I50" s="82"/>
      <c r="J50" s="82"/>
      <c r="K50" s="82"/>
      <c r="L50" s="82"/>
      <c r="M50" s="82"/>
      <c r="N50" s="82"/>
      <c r="O50" s="15"/>
      <c r="P50" s="15"/>
      <c r="Q50" s="15"/>
      <c r="R50">
        <v>-1</v>
      </c>
      <c r="S50" s="75">
        <f t="shared" si="0"/>
        <v>1043.5</v>
      </c>
      <c r="T50" s="76">
        <f t="shared" si="1"/>
        <v>12.373000000000001</v>
      </c>
    </row>
    <row r="51" spans="1:20" ht="12.75" hidden="1">
      <c r="A51" s="54"/>
      <c r="B51" s="1"/>
      <c r="D51" s="1"/>
      <c r="E51" s="1"/>
      <c r="F51" s="1"/>
      <c r="G51" s="1"/>
      <c r="H51" s="1"/>
      <c r="I51" s="15"/>
      <c r="J51" s="82"/>
      <c r="K51" s="82"/>
      <c r="L51" s="82"/>
      <c r="M51" s="82"/>
      <c r="N51" s="82"/>
      <c r="O51" s="15"/>
      <c r="P51" s="15"/>
      <c r="Q51" s="15"/>
      <c r="S51" s="75"/>
      <c r="T51" s="76"/>
    </row>
    <row r="52" spans="1:20" ht="12.75" hidden="1">
      <c r="A52" s="54"/>
      <c r="B52" s="1"/>
      <c r="D52" s="1"/>
      <c r="E52" s="1"/>
      <c r="F52" s="1"/>
      <c r="G52" s="1"/>
      <c r="H52" s="1"/>
      <c r="I52" s="73"/>
      <c r="J52" s="15"/>
      <c r="K52" s="15"/>
      <c r="L52" s="15"/>
      <c r="M52" s="15"/>
      <c r="N52" s="15"/>
      <c r="O52" s="73"/>
      <c r="P52" s="73"/>
      <c r="Q52" s="73"/>
      <c r="R52" s="70">
        <v>0</v>
      </c>
      <c r="S52" s="71">
        <f>1.043*1000</f>
        <v>1043</v>
      </c>
      <c r="T52" s="72">
        <v>11.41</v>
      </c>
    </row>
    <row r="53" spans="1:20" ht="12.75" hidden="1">
      <c r="A53" s="54"/>
      <c r="B53" s="1"/>
      <c r="D53" s="1"/>
      <c r="E53" s="1"/>
      <c r="F53" s="1"/>
      <c r="G53" s="1"/>
      <c r="H53" s="1"/>
      <c r="I53" s="73"/>
      <c r="J53" s="73"/>
      <c r="K53" s="73"/>
      <c r="L53" s="73"/>
      <c r="M53" s="73"/>
      <c r="N53" s="73"/>
      <c r="O53" s="73"/>
      <c r="P53" s="73"/>
      <c r="Q53" s="73"/>
      <c r="R53">
        <v>1</v>
      </c>
      <c r="S53" s="75">
        <f aca="true" t="shared" si="2" ref="S53:S61">($S$62-$S$52)/($R$62-$R$52)*(R53-$R$52)+$S$52</f>
        <v>1042.5</v>
      </c>
      <c r="T53" s="76">
        <f aca="true" t="shared" si="3" ref="T53:T61">($T$62-$T$52)/($R$62-$R$52)*(R53-$R$52)+$T$52</f>
        <v>10.933</v>
      </c>
    </row>
    <row r="54" spans="1:20" ht="12.75" hidden="1">
      <c r="A54" s="54"/>
      <c r="B54" s="1"/>
      <c r="D54" s="1"/>
      <c r="E54" s="1"/>
      <c r="F54" s="1"/>
      <c r="G54" s="1"/>
      <c r="H54" s="1"/>
      <c r="I54" s="73"/>
      <c r="J54" s="73"/>
      <c r="K54" s="73"/>
      <c r="L54" s="73"/>
      <c r="M54" s="73"/>
      <c r="N54" s="73"/>
      <c r="O54" s="73"/>
      <c r="P54" s="73"/>
      <c r="Q54" s="73"/>
      <c r="R54">
        <v>2</v>
      </c>
      <c r="S54" s="75">
        <f t="shared" si="2"/>
        <v>1042</v>
      </c>
      <c r="T54" s="76">
        <f t="shared" si="3"/>
        <v>10.456</v>
      </c>
    </row>
    <row r="55" spans="1:20" ht="7.5" customHeight="1">
      <c r="A55" s="54"/>
      <c r="B55" s="1"/>
      <c r="D55" s="1"/>
      <c r="E55" s="1"/>
      <c r="F55" s="1"/>
      <c r="G55" s="1"/>
      <c r="H55" s="1"/>
      <c r="J55" s="73"/>
      <c r="K55" s="73"/>
      <c r="L55" s="77"/>
      <c r="M55" s="73"/>
      <c r="N55" s="73"/>
      <c r="O55" s="15"/>
      <c r="P55" s="15"/>
      <c r="Q55" s="15"/>
      <c r="R55">
        <v>3</v>
      </c>
      <c r="S55" s="75">
        <f t="shared" si="2"/>
        <v>1041.5</v>
      </c>
      <c r="T55" s="76">
        <f t="shared" si="3"/>
        <v>9.979</v>
      </c>
    </row>
    <row r="56" spans="1:20" ht="12.75">
      <c r="A56" s="54"/>
      <c r="B56" s="1"/>
      <c r="D56" s="1"/>
      <c r="E56" s="1"/>
      <c r="F56" s="1"/>
      <c r="G56" s="1"/>
      <c r="H56" s="1"/>
      <c r="L56" s="77"/>
      <c r="O56" s="15"/>
      <c r="P56" s="15"/>
      <c r="Q56" s="15"/>
      <c r="R56">
        <v>4</v>
      </c>
      <c r="S56" s="75">
        <f t="shared" si="2"/>
        <v>1041</v>
      </c>
      <c r="T56" s="76">
        <f t="shared" si="3"/>
        <v>9.502</v>
      </c>
    </row>
    <row r="57" spans="1:20" ht="6.75" customHeight="1">
      <c r="A57" s="54"/>
      <c r="B57" s="1"/>
      <c r="D57" s="1"/>
      <c r="E57" s="1"/>
      <c r="F57" s="1"/>
      <c r="G57" s="1"/>
      <c r="H57" s="1"/>
      <c r="O57" s="15"/>
      <c r="P57" s="15"/>
      <c r="Q57" s="15"/>
      <c r="R57">
        <v>5</v>
      </c>
      <c r="S57" s="75">
        <f t="shared" si="2"/>
        <v>1040.5</v>
      </c>
      <c r="T57" s="76">
        <f t="shared" si="3"/>
        <v>9.025</v>
      </c>
    </row>
    <row r="58" spans="1:20" ht="12.75">
      <c r="A58" s="11"/>
      <c r="B58" s="1"/>
      <c r="D58" s="1"/>
      <c r="E58" s="1"/>
      <c r="F58" s="1"/>
      <c r="G58" s="1"/>
      <c r="H58" s="1"/>
      <c r="O58" s="15"/>
      <c r="P58" s="15"/>
      <c r="Q58" s="15"/>
      <c r="R58">
        <v>6</v>
      </c>
      <c r="S58" s="75">
        <f t="shared" si="2"/>
        <v>1040</v>
      </c>
      <c r="T58" s="76">
        <f t="shared" si="3"/>
        <v>8.548</v>
      </c>
    </row>
    <row r="59" spans="18:20" ht="12.75">
      <c r="R59">
        <v>7</v>
      </c>
      <c r="S59" s="75">
        <f t="shared" si="2"/>
        <v>1039.5</v>
      </c>
      <c r="T59" s="76">
        <f t="shared" si="3"/>
        <v>8.071</v>
      </c>
    </row>
    <row r="60" spans="18:20" ht="12.75">
      <c r="R60">
        <v>8</v>
      </c>
      <c r="S60" s="75">
        <f t="shared" si="2"/>
        <v>1039</v>
      </c>
      <c r="T60" s="76">
        <f t="shared" si="3"/>
        <v>7.593999999999999</v>
      </c>
    </row>
    <row r="61" spans="18:20" ht="12.75">
      <c r="R61">
        <v>9</v>
      </c>
      <c r="S61" s="75">
        <f t="shared" si="2"/>
        <v>1038.5</v>
      </c>
      <c r="T61" s="76">
        <f t="shared" si="3"/>
        <v>7.117</v>
      </c>
    </row>
    <row r="62" spans="18:20" ht="12.75">
      <c r="R62" s="70">
        <v>10</v>
      </c>
      <c r="S62" s="83">
        <f>1.038*1000</f>
        <v>1038</v>
      </c>
      <c r="T62" s="84">
        <v>6.64</v>
      </c>
    </row>
    <row r="63" spans="18:20" ht="12.75">
      <c r="R63">
        <v>11</v>
      </c>
      <c r="S63" s="75">
        <f aca="true" t="shared" si="4" ref="S63:S71">($S$72-$S$62)/($R$72-$R$62)*(R63-$R$62)+$S$62</f>
        <v>1037.4</v>
      </c>
      <c r="T63" s="76">
        <f aca="true" t="shared" si="5" ref="T63:T71">($T$72-$T$62)/($R$72-$R$62)*(R63-$R$62)+$T$62</f>
        <v>6.425</v>
      </c>
    </row>
    <row r="64" spans="18:20" ht="12.75">
      <c r="R64">
        <v>12</v>
      </c>
      <c r="S64" s="75">
        <f t="shared" si="4"/>
        <v>1036.8</v>
      </c>
      <c r="T64" s="76">
        <f t="shared" si="5"/>
        <v>6.21</v>
      </c>
    </row>
    <row r="65" spans="18:20" ht="12.75">
      <c r="R65">
        <v>13</v>
      </c>
      <c r="S65" s="75">
        <f t="shared" si="4"/>
        <v>1036.2</v>
      </c>
      <c r="T65" s="76">
        <f t="shared" si="5"/>
        <v>5.995</v>
      </c>
    </row>
    <row r="66" spans="18:20" ht="12.75">
      <c r="R66">
        <v>14</v>
      </c>
      <c r="S66" s="75">
        <f t="shared" si="4"/>
        <v>1035.6</v>
      </c>
      <c r="T66" s="76">
        <f t="shared" si="5"/>
        <v>5.78</v>
      </c>
    </row>
    <row r="67" spans="18:20" ht="12.75">
      <c r="R67">
        <v>15</v>
      </c>
      <c r="S67" s="75">
        <f t="shared" si="4"/>
        <v>1035</v>
      </c>
      <c r="T67" s="76">
        <f t="shared" si="5"/>
        <v>5.5649999999999995</v>
      </c>
    </row>
    <row r="68" spans="18:20" ht="12.75">
      <c r="R68">
        <v>16</v>
      </c>
      <c r="S68" s="75">
        <f t="shared" si="4"/>
        <v>1034.4</v>
      </c>
      <c r="T68" s="76">
        <f t="shared" si="5"/>
        <v>5.35</v>
      </c>
    </row>
    <row r="69" spans="18:20" ht="12.75">
      <c r="R69">
        <v>17</v>
      </c>
      <c r="S69" s="75">
        <f t="shared" si="4"/>
        <v>1033.8</v>
      </c>
      <c r="T69" s="76">
        <f t="shared" si="5"/>
        <v>5.135</v>
      </c>
    </row>
    <row r="70" spans="18:20" ht="12.75">
      <c r="R70">
        <v>18</v>
      </c>
      <c r="S70" s="75">
        <f t="shared" si="4"/>
        <v>1033.2</v>
      </c>
      <c r="T70" s="76">
        <f t="shared" si="5"/>
        <v>4.92</v>
      </c>
    </row>
    <row r="71" spans="18:20" ht="12.75">
      <c r="R71">
        <v>19</v>
      </c>
      <c r="S71" s="75">
        <f t="shared" si="4"/>
        <v>1032.6</v>
      </c>
      <c r="T71" s="76">
        <f t="shared" si="5"/>
        <v>4.705</v>
      </c>
    </row>
    <row r="72" spans="18:20" ht="12.75">
      <c r="R72" s="70">
        <v>20</v>
      </c>
      <c r="S72" s="83">
        <f>1.032*1000</f>
        <v>1032</v>
      </c>
      <c r="T72" s="84">
        <v>4.49</v>
      </c>
    </row>
    <row r="73" spans="18:20" ht="12.75">
      <c r="R73">
        <v>21</v>
      </c>
      <c r="S73" s="75">
        <f aca="true" t="shared" si="6" ref="S73:S81">($S$82-$S$72)/($R$82-$R$72)*(R73-$R$72)+$S$72</f>
        <v>1031.4</v>
      </c>
      <c r="T73" s="76">
        <f aca="true" t="shared" si="7" ref="T73:T81">($T$82-$T$72)/($R$82-$R$72)*(R73-$R$72)+$T$72</f>
        <v>4.346</v>
      </c>
    </row>
    <row r="74" spans="18:20" ht="12.75">
      <c r="R74">
        <v>22</v>
      </c>
      <c r="S74" s="75">
        <f t="shared" si="6"/>
        <v>1030.8</v>
      </c>
      <c r="T74" s="76">
        <f t="shared" si="7"/>
        <v>4.202</v>
      </c>
    </row>
    <row r="75" spans="18:20" ht="12.75">
      <c r="R75">
        <v>23</v>
      </c>
      <c r="S75" s="75">
        <f t="shared" si="6"/>
        <v>1030.2</v>
      </c>
      <c r="T75" s="76">
        <f t="shared" si="7"/>
        <v>4.058</v>
      </c>
    </row>
    <row r="76" spans="18:20" ht="12.75">
      <c r="R76">
        <v>24</v>
      </c>
      <c r="S76" s="75">
        <f t="shared" si="6"/>
        <v>1029.6</v>
      </c>
      <c r="T76" s="76">
        <f t="shared" si="7"/>
        <v>3.914</v>
      </c>
    </row>
    <row r="77" spans="18:20" ht="12.75">
      <c r="R77">
        <v>25</v>
      </c>
      <c r="S77" s="75">
        <f t="shared" si="6"/>
        <v>1029</v>
      </c>
      <c r="T77" s="76">
        <f t="shared" si="7"/>
        <v>3.77</v>
      </c>
    </row>
    <row r="78" spans="18:20" ht="12.75">
      <c r="R78">
        <v>26</v>
      </c>
      <c r="S78" s="75">
        <f t="shared" si="6"/>
        <v>1028.4</v>
      </c>
      <c r="T78" s="76">
        <f t="shared" si="7"/>
        <v>3.626</v>
      </c>
    </row>
    <row r="79" spans="18:20" ht="12.75">
      <c r="R79">
        <v>27</v>
      </c>
      <c r="S79" s="75">
        <f t="shared" si="6"/>
        <v>1027.8</v>
      </c>
      <c r="T79" s="76">
        <f t="shared" si="7"/>
        <v>3.482</v>
      </c>
    </row>
    <row r="80" spans="18:20" ht="12.75">
      <c r="R80">
        <v>28</v>
      </c>
      <c r="S80" s="75">
        <f t="shared" si="6"/>
        <v>1027.2</v>
      </c>
      <c r="T80" s="76">
        <f t="shared" si="7"/>
        <v>3.338</v>
      </c>
    </row>
    <row r="81" spans="18:20" ht="12.75">
      <c r="R81">
        <v>29</v>
      </c>
      <c r="S81" s="75">
        <f t="shared" si="6"/>
        <v>1026.6</v>
      </c>
      <c r="T81" s="76">
        <f t="shared" si="7"/>
        <v>3.194</v>
      </c>
    </row>
    <row r="82" spans="18:20" ht="12.75">
      <c r="R82" s="70">
        <v>30</v>
      </c>
      <c r="S82" s="71">
        <f>1.026*1000</f>
        <v>1026</v>
      </c>
      <c r="T82" s="72">
        <v>3.05</v>
      </c>
    </row>
  </sheetData>
  <sheetProtection password="C744" sheet="1"/>
  <mergeCells count="5">
    <mergeCell ref="C2:D2"/>
    <mergeCell ref="C3:D3"/>
    <mergeCell ref="C4:D4"/>
    <mergeCell ref="B6:G6"/>
    <mergeCell ref="B36:G36"/>
  </mergeCells>
  <printOptions horizontalCentered="1"/>
  <pageMargins left="0.7875" right="0.7875" top="0.9840277777777777" bottom="0.9840277777777777" header="0.5118055555555555" footer="0.5118055555555555"/>
  <pageSetup fitToHeight="1" fitToWidth="1" horizontalDpi="300" verticalDpi="300"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</dc:creator>
  <cp:keywords/>
  <dc:description/>
  <cp:lastModifiedBy>Michael</cp:lastModifiedBy>
  <cp:lastPrinted>2005-11-07T10:00:31Z</cp:lastPrinted>
  <dcterms:created xsi:type="dcterms:W3CDTF">2005-09-22T11:35:44Z</dcterms:created>
  <dcterms:modified xsi:type="dcterms:W3CDTF">2006-02-01T10:13:54Z</dcterms:modified>
  <cp:category/>
  <cp:version/>
  <cp:contentType/>
  <cp:contentStatus/>
</cp:coreProperties>
</file>